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dewilde.v.1\Desktop\Speed Pedelec\"/>
    </mc:Choice>
  </mc:AlternateContent>
  <xr:revisionPtr revIDLastSave="0" documentId="13_ncr:1_{405FC88E-5422-42CC-8A8A-7035ACD04488}" xr6:coauthVersionLast="41" xr6:coauthVersionMax="41" xr10:uidLastSave="{00000000-0000-0000-0000-000000000000}"/>
  <bookViews>
    <workbookView xWindow="-120" yWindow="-120" windowWidth="29040" windowHeight="15840" xr2:uid="{F0CA80DE-EC01-4319-A70A-1037F33E136A}"/>
  </bookViews>
  <sheets>
    <sheet name="overview" sheetId="2" r:id="rId1"/>
    <sheet name="calculations"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43" i="1" l="1"/>
  <c r="E43" i="1" s="1"/>
  <c r="E33" i="1"/>
  <c r="F29" i="1"/>
  <c r="E29" i="1"/>
  <c r="D29" i="1"/>
  <c r="C29" i="1"/>
  <c r="C13" i="1"/>
  <c r="C11" i="1"/>
  <c r="C6" i="1"/>
  <c r="C7" i="1" s="1"/>
  <c r="C5" i="1"/>
  <c r="C2" i="1"/>
  <c r="C3" i="1" s="1"/>
  <c r="F18" i="2"/>
  <c r="E18" i="2"/>
  <c r="D18" i="2"/>
  <c r="C18" i="2"/>
  <c r="C4" i="1" l="1"/>
  <c r="C12" i="1"/>
  <c r="C9" i="1"/>
  <c r="C10" i="1" s="1"/>
  <c r="F19" i="2"/>
  <c r="C19" i="2"/>
  <c r="F45" i="1"/>
  <c r="E45" i="1"/>
  <c r="C45" i="1"/>
  <c r="D19" i="2"/>
  <c r="E19" i="2"/>
  <c r="C34" i="1"/>
  <c r="C35" i="1" s="1"/>
  <c r="D34" i="1"/>
  <c r="D35" i="1" s="1"/>
  <c r="E34" i="1"/>
  <c r="E35" i="1" s="1"/>
  <c r="F34" i="1"/>
  <c r="F35" i="1" s="1"/>
  <c r="D43" i="1"/>
  <c r="F43" i="1" s="1"/>
  <c r="E41" i="1" l="1"/>
  <c r="E42" i="1" s="1"/>
  <c r="E37" i="1"/>
  <c r="E38" i="1" s="1"/>
  <c r="E39" i="1" s="1"/>
  <c r="D45" i="1"/>
  <c r="F41" i="1"/>
  <c r="F42" i="1" s="1"/>
  <c r="F37" i="1"/>
  <c r="F38" i="1" s="1"/>
  <c r="F39" i="1" s="1"/>
  <c r="C41" i="1"/>
  <c r="C42" i="1" s="1"/>
  <c r="C37" i="1"/>
  <c r="C38" i="1" s="1"/>
  <c r="C39" i="1" s="1"/>
  <c r="C14" i="1"/>
  <c r="D41" i="1"/>
  <c r="D42" i="1" s="1"/>
  <c r="D37" i="1"/>
  <c r="D38" i="1" s="1"/>
  <c r="D39" i="1" s="1"/>
  <c r="E16" i="1" l="1"/>
  <c r="E17" i="1" s="1"/>
  <c r="E18" i="1" s="1"/>
  <c r="E17" i="2" s="1"/>
  <c r="D16" i="1"/>
  <c r="D17" i="1" s="1"/>
  <c r="D18" i="1" s="1"/>
  <c r="D17" i="2" s="1"/>
  <c r="C16" i="1"/>
  <c r="C17" i="1" s="1"/>
  <c r="C18" i="1" s="1"/>
  <c r="C17" i="2" s="1"/>
  <c r="F16" i="1"/>
  <c r="F17" i="1" s="1"/>
  <c r="F18" i="1" s="1"/>
  <c r="F1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DeWilde, Vincent</author>
  </authors>
  <commentList>
    <comment ref="C16" authorId="0" shapeId="0" xr:uid="{071EA91C-C36F-401E-98B9-00E9EAFDDA3A}">
      <text>
        <r>
          <rPr>
            <b/>
            <sz val="9"/>
            <color indexed="81"/>
            <rFont val="Tahoma"/>
            <family val="2"/>
          </rPr>
          <t>includes:</t>
        </r>
        <r>
          <rPr>
            <sz val="9"/>
            <color indexed="81"/>
            <rFont val="Tahoma"/>
            <family val="2"/>
          </rPr>
          <t xml:space="preserve">
- saddle &amp; stem shock absorber
- longer mudguard to better protect shoes &amp; trousers
- lock
- extra charger
- protective equipment (helmet and rain trousers)</t>
        </r>
      </text>
    </comment>
    <comment ref="D16" authorId="0" shapeId="0" xr:uid="{2C12EC26-2D92-4EBE-81FE-1326B4CEB828}">
      <text>
        <r>
          <rPr>
            <b/>
            <sz val="9"/>
            <color indexed="81"/>
            <rFont val="Tahoma"/>
            <family val="2"/>
          </rPr>
          <t>includes:</t>
        </r>
        <r>
          <rPr>
            <sz val="9"/>
            <color indexed="81"/>
            <rFont val="Tahoma"/>
            <family val="2"/>
          </rPr>
          <t xml:space="preserve">
- lock
- extra charger
</t>
        </r>
        <r>
          <rPr>
            <b/>
            <sz val="9"/>
            <color indexed="81"/>
            <rFont val="Tahoma"/>
            <family val="2"/>
          </rPr>
          <t>excludes:</t>
        </r>
        <r>
          <rPr>
            <sz val="9"/>
            <color indexed="81"/>
            <rFont val="Tahoma"/>
            <family val="2"/>
          </rPr>
          <t xml:space="preserve">
- protective equipment
- longer mudguard
- saddle &amp; stem shock absorbers</t>
        </r>
      </text>
    </comment>
    <comment ref="E16" authorId="0" shapeId="0" xr:uid="{7A9D4C52-422E-48F5-8759-BAD003107BE4}">
      <text>
        <r>
          <rPr>
            <b/>
            <sz val="9"/>
            <color indexed="81"/>
            <rFont val="Tahoma"/>
            <family val="2"/>
          </rPr>
          <t xml:space="preserve">includes:
</t>
        </r>
        <r>
          <rPr>
            <sz val="9"/>
            <color indexed="81"/>
            <rFont val="Tahoma"/>
            <family val="2"/>
          </rPr>
          <t xml:space="preserve">- lock
- extra charger
</t>
        </r>
        <r>
          <rPr>
            <b/>
            <sz val="9"/>
            <color indexed="81"/>
            <rFont val="Tahoma"/>
            <family val="2"/>
          </rPr>
          <t>excludes:</t>
        </r>
        <r>
          <rPr>
            <sz val="9"/>
            <color indexed="81"/>
            <rFont val="Tahoma"/>
            <family val="2"/>
          </rPr>
          <t xml:space="preserve">
- protective equipment
- longer mudguard
- saddle &amp; stem shock absorbers</t>
        </r>
      </text>
    </comment>
    <comment ref="F16" authorId="0" shapeId="0" xr:uid="{F6C4B246-D91D-4D02-A6F0-E57CAC047F8C}">
      <text>
        <r>
          <rPr>
            <sz val="9"/>
            <color indexed="81"/>
            <rFont val="Tahoma"/>
            <family val="2"/>
          </rPr>
          <t xml:space="preserve">~5000€ Type Bosch battery mid-engine.  Includes extra charger and lock.  Decent Pedelec but mid-engine of 350-400W has less power so lower cruising speed.
</t>
        </r>
      </text>
    </comment>
    <comment ref="B17" authorId="0" shapeId="0" xr:uid="{C3E188F6-FD75-4515-8019-7C92B831BCFF}">
      <text>
        <r>
          <rPr>
            <b/>
            <sz val="9"/>
            <color indexed="81"/>
            <rFont val="Tahoma"/>
            <family val="2"/>
          </rPr>
          <t>includes:</t>
        </r>
        <r>
          <rPr>
            <sz val="9"/>
            <color indexed="81"/>
            <rFont val="Tahoma"/>
            <family val="2"/>
          </rPr>
          <t xml:space="preserve">
- maintenance every 5000km, done in shop (250€)
- new battery when not enough juice for one-way + 5km
- bike to work AS adventure vouchers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DeWilde, Vincent</author>
  </authors>
  <commentList>
    <comment ref="B36" authorId="0" shapeId="0" xr:uid="{22A69131-9E12-45C8-9AD6-7762BF83C86A}">
      <text>
        <r>
          <rPr>
            <b/>
            <sz val="9"/>
            <color indexed="81"/>
            <rFont val="Tahoma"/>
            <family val="2"/>
          </rPr>
          <t>DeWilde, Vincent:</t>
        </r>
        <r>
          <rPr>
            <sz val="9"/>
            <color indexed="81"/>
            <rFont val="Tahoma"/>
            <family val="2"/>
          </rPr>
          <t xml:space="preserve">
assumption: battery loss ~10%/year, but conservatively made 15% given 'max support' default setting, causing more charge cycles.
</t>
        </r>
      </text>
    </comment>
  </commentList>
</comments>
</file>

<file path=xl/sharedStrings.xml><?xml version="1.0" encoding="utf-8"?>
<sst xmlns="http://schemas.openxmlformats.org/spreadsheetml/2006/main" count="88" uniqueCount="81">
  <si>
    <t>commuting distance one-way (km)</t>
  </si>
  <si>
    <t>INPUT</t>
  </si>
  <si>
    <t>OUTPUT</t>
  </si>
  <si>
    <t>Commute distance one-way</t>
  </si>
  <si>
    <t>Commute distance per day</t>
  </si>
  <si>
    <t>work schedule</t>
  </si>
  <si>
    <t>#days/month</t>
  </si>
  <si>
    <t>vacation correction</t>
  </si>
  <si>
    <t>€/month</t>
  </si>
  <si>
    <t>€/year</t>
  </si>
  <si>
    <t>IN</t>
  </si>
  <si>
    <t>OUT</t>
  </si>
  <si>
    <t>folding lock</t>
  </si>
  <si>
    <t># years before purchasing new Pedelec</t>
  </si>
  <si>
    <t>€ purchase</t>
  </si>
  <si>
    <t>extra charger €</t>
  </si>
  <si>
    <t>Speed Pedelec maintenance</t>
  </si>
  <si>
    <t>Speed Pedelec purchase</t>
  </si>
  <si>
    <t xml:space="preserve">total </t>
  </si>
  <si>
    <t>helmet and clothing</t>
  </si>
  <si>
    <t>maintenance €</t>
  </si>
  <si>
    <t xml:space="preserve"> maintenance km</t>
  </si>
  <si>
    <t>bodyfloat kinekt 2.1 saddle suspension</t>
  </si>
  <si>
    <t>Stromer ST3 983Wh full option</t>
  </si>
  <si>
    <t>total in</t>
  </si>
  <si>
    <t>total out</t>
  </si>
  <si>
    <t>balance</t>
  </si>
  <si>
    <t>km/year</t>
  </si>
  <si>
    <t>balance / year</t>
  </si>
  <si>
    <t># maintenance needed</t>
  </si>
  <si>
    <t xml:space="preserve"> battery km per full charge, max support</t>
  </si>
  <si>
    <t>battery km minimal support to replacement</t>
  </si>
  <si>
    <t>battery loss to minimal support</t>
  </si>
  <si>
    <t>battery loss per 10000km</t>
  </si>
  <si>
    <t>battery lifespan to replacement km</t>
  </si>
  <si>
    <t>factor</t>
  </si>
  <si>
    <t># of replacement batteries needed</t>
  </si>
  <si>
    <t>Stromer ST3 983Wh basic</t>
  </si>
  <si>
    <t>resell value used battery (% of cost remaining Wh capacity)</t>
  </si>
  <si>
    <t>maintenance after 'x' km</t>
  </si>
  <si>
    <t>battery replacement when just enough juice for one-way + 'x'km</t>
  </si>
  <si>
    <t>amount of years to bike replacement</t>
  </si>
  <si>
    <t>cost per year (negative means profit)</t>
  </si>
  <si>
    <t xml:space="preserve">battery € </t>
  </si>
  <si>
    <t>battery capacity</t>
  </si>
  <si>
    <t>983Wh</t>
  </si>
  <si>
    <t>814Wh</t>
  </si>
  <si>
    <t>500Wh</t>
  </si>
  <si>
    <t>battery residual value %</t>
  </si>
  <si>
    <t>battery residual value €</t>
  </si>
  <si>
    <t>work schedule (%)</t>
  </si>
  <si>
    <t>Stromer ST1 basic 814Wh</t>
  </si>
  <si>
    <t>Stromer ST1  814Wh basic</t>
  </si>
  <si>
    <t>Bosch mid-engine type</t>
  </si>
  <si>
    <t>Note: prices are indicative and vary depending on exact model and specs.</t>
  </si>
  <si>
    <t>speed pedelec choice</t>
  </si>
  <si>
    <t>Stromer ST1 814Wh basic</t>
  </si>
  <si>
    <t>average commute time per year (hours)</t>
  </si>
  <si>
    <t>ADJUST YELLOW CELLS ONLY</t>
  </si>
  <si>
    <t>average commute time one-way (minutes, includes 5' to change)</t>
  </si>
  <si>
    <t>Batteries can sometimes also be 'revitalized'.  Lacking details, the calculation assumes the battery is sold and a brand new one purchased.</t>
  </si>
  <si>
    <t xml:space="preserve"> Note a maintenance every 5000km is included in the calculation as well as periodic battery replacement.  The Pedelec frame should last for 4+ years.</t>
  </si>
  <si>
    <t xml:space="preserve"> 15 - 35km range ideally</t>
  </si>
  <si>
    <t>insurance €/year</t>
  </si>
  <si>
    <t xml:space="preserve">Employer commute allowance per km (€) </t>
  </si>
  <si>
    <t>Extra incentive per day commuted by bicycle (€)</t>
  </si>
  <si>
    <t>allowance per km calculated on two-way trip</t>
  </si>
  <si>
    <t xml:space="preserve"> default value 5km. 15% spare juice recommended to ensure you don’t run out of battery when there's a hefty headwind</t>
  </si>
  <si>
    <t xml:space="preserve"> default value 50%. can be used to simulate cost of revitalization</t>
  </si>
  <si>
    <t xml:space="preserve"> default value 5000ml.  5000km recommended by shop.  You could increase to 10000km to simulate cost if you replace chain, breaks and tires every 5000km yourself.</t>
  </si>
  <si>
    <t>allowance €/km</t>
  </si>
  <si>
    <t>extra incentive €/year</t>
  </si>
  <si>
    <t>extra incentive value €/day</t>
  </si>
  <si>
    <t>e.g. if agreement between employer and Bike To Work or some other incentive per day cycled</t>
  </si>
  <si>
    <t xml:space="preserve"> % worked per contract.  Adjust downward to simulate impact of work days not cycled, depending on employer rules</t>
  </si>
  <si>
    <t>in essence a value to take the amount of vacation days you take in a given year into account.  1 = you take no vacation, 0.9 = 10% of your work days you took vacation (approx. 25 days based on 21 day/month schedule).</t>
  </si>
  <si>
    <t>average door to door speed km/h</t>
  </si>
  <si>
    <t>Note this calculator is provisional due to inflation, Speed pedelec purchase cost changes, battery replacement cost changes, potential legislatory changes towards insurance etc.  Feel free to adjust the highlighted cells in the 'calculations' tab per the info you gathered more recently to get a better indication of cost per year.</t>
  </si>
  <si>
    <t>bags</t>
  </si>
  <si>
    <t>mirror</t>
  </si>
  <si>
    <t>The calculator enables comparison of up to four speed pedelecs.  Default is slanted towards Stromer (most sold brand) in 2019.  Adjust values in calculation tab per your situation (brand, accessories…).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</si>
</sst>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_([$€-2]\ * #,##0.00_);_([$€-2]\ * \(#,##0.00\);_([$€-2]\ * &quot;-&quot;??_);_(@_)"/>
    <numFmt numFmtId="166" formatCode="[$€-2]\ #,##0.00;[Red][$€-2]\ #,##0.00"/>
    <numFmt numFmtId="167" formatCode="[$€-2]\ #,##0.00"/>
    <numFmt numFmtId="168" formatCode="[$€-2]\ #,##0.00_);\([$€-2]\ #,##0.00\)"/>
    <numFmt numFmtId="169" formatCode="[$€-2]\ #,##0.00;[Red]\-[$€-2]\ #,##0.00"/>
  </numFmts>
  <fonts count="7" x14ac:knownFonts="1">
    <font>
      <sz val="11"/>
      <color theme="1"/>
      <name val="Calibri"/>
      <family val="2"/>
      <scheme val="minor"/>
    </font>
    <font>
      <b/>
      <sz val="11"/>
      <color theme="1"/>
      <name val="Calibri"/>
      <family val="2"/>
      <scheme val="minor"/>
    </font>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color rgb="FFFF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8"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s>
  <cellStyleXfs count="3">
    <xf numFmtId="0" fontId="0" fillId="0" borderId="0"/>
    <xf numFmtId="9" fontId="2" fillId="0" borderId="0" applyFont="0" applyFill="0" applyBorder="0" applyAlignment="0" applyProtection="0"/>
    <xf numFmtId="0" fontId="5" fillId="0" borderId="0" applyNumberFormat="0" applyFill="0" applyBorder="0" applyAlignment="0" applyProtection="0"/>
  </cellStyleXfs>
  <cellXfs count="62">
    <xf numFmtId="0" fontId="0" fillId="0" borderId="0" xfId="0"/>
    <xf numFmtId="0" fontId="0" fillId="0" borderId="0" xfId="0" applyAlignment="1">
      <alignment horizontal="center"/>
    </xf>
    <xf numFmtId="0" fontId="1" fillId="0" borderId="0" xfId="0" applyFont="1" applyAlignment="1">
      <alignment horizontal="center"/>
    </xf>
    <xf numFmtId="9" fontId="0" fillId="0" borderId="0" xfId="0" applyNumberFormat="1" applyAlignment="1">
      <alignment horizontal="center"/>
    </xf>
    <xf numFmtId="164" fontId="0" fillId="0" borderId="0" xfId="0" applyNumberFormat="1" applyAlignment="1">
      <alignment horizontal="center"/>
    </xf>
    <xf numFmtId="1" fontId="0" fillId="0" borderId="0" xfId="0" applyNumberFormat="1" applyAlignment="1">
      <alignment horizontal="center"/>
    </xf>
    <xf numFmtId="9" fontId="0" fillId="0" borderId="0" xfId="1" applyFont="1" applyAlignment="1">
      <alignment horizontal="center"/>
    </xf>
    <xf numFmtId="0" fontId="0" fillId="0" borderId="1" xfId="0" applyBorder="1"/>
    <xf numFmtId="0" fontId="1" fillId="0" borderId="0" xfId="0" applyFont="1"/>
    <xf numFmtId="0" fontId="0" fillId="0" borderId="1" xfId="0" applyFill="1" applyBorder="1"/>
    <xf numFmtId="0" fontId="0" fillId="0" borderId="0" xfId="0" applyFill="1" applyAlignment="1">
      <alignment horizontal="center"/>
    </xf>
    <xf numFmtId="0" fontId="0" fillId="0" borderId="0" xfId="0" applyAlignment="1">
      <alignment horizontal="right"/>
    </xf>
    <xf numFmtId="0" fontId="1" fillId="0" borderId="0" xfId="0" applyFont="1" applyAlignment="1">
      <alignment horizontal="right"/>
    </xf>
    <xf numFmtId="0" fontId="0" fillId="0" borderId="0" xfId="0" applyFont="1" applyAlignment="1">
      <alignment horizontal="right"/>
    </xf>
    <xf numFmtId="0" fontId="0" fillId="0" borderId="3" xfId="0" applyBorder="1" applyAlignment="1">
      <alignment horizontal="center"/>
    </xf>
    <xf numFmtId="165" fontId="0" fillId="0" borderId="0" xfId="0" applyNumberFormat="1" applyAlignment="1">
      <alignment horizontal="center"/>
    </xf>
    <xf numFmtId="0" fontId="0" fillId="0" borderId="0" xfId="0" applyBorder="1" applyAlignment="1">
      <alignment horizontal="right"/>
    </xf>
    <xf numFmtId="0" fontId="0" fillId="0" borderId="0" xfId="0" applyBorder="1" applyAlignment="1">
      <alignment horizontal="center"/>
    </xf>
    <xf numFmtId="0" fontId="0" fillId="0" borderId="8" xfId="0" applyBorder="1" applyAlignment="1">
      <alignment horizontal="center"/>
    </xf>
    <xf numFmtId="0" fontId="0" fillId="0" borderId="4" xfId="0" applyFill="1" applyBorder="1" applyAlignment="1">
      <alignment horizontal="center"/>
    </xf>
    <xf numFmtId="0" fontId="0" fillId="0" borderId="0" xfId="0" applyFill="1" applyBorder="1" applyAlignment="1">
      <alignment horizontal="center"/>
    </xf>
    <xf numFmtId="166" fontId="0" fillId="0" borderId="0" xfId="0" applyNumberFormat="1" applyAlignment="1">
      <alignment horizontal="center"/>
    </xf>
    <xf numFmtId="167" fontId="0" fillId="0" borderId="4" xfId="0" applyNumberFormat="1" applyBorder="1" applyAlignment="1">
      <alignment horizontal="center"/>
    </xf>
    <xf numFmtId="167" fontId="0" fillId="0" borderId="0" xfId="0" applyNumberFormat="1" applyBorder="1" applyAlignment="1">
      <alignment horizontal="center"/>
    </xf>
    <xf numFmtId="167" fontId="0" fillId="0" borderId="5" xfId="0" applyNumberFormat="1" applyBorder="1" applyAlignment="1">
      <alignment horizontal="center"/>
    </xf>
    <xf numFmtId="168" fontId="0" fillId="0" borderId="4" xfId="0" applyNumberFormat="1" applyBorder="1" applyAlignment="1">
      <alignment horizontal="center"/>
    </xf>
    <xf numFmtId="168" fontId="0" fillId="0" borderId="0" xfId="0" applyNumberFormat="1" applyBorder="1" applyAlignment="1">
      <alignment horizontal="center"/>
    </xf>
    <xf numFmtId="168" fontId="0" fillId="0" borderId="5" xfId="0" applyNumberFormat="1" applyBorder="1" applyAlignment="1">
      <alignment horizontal="center"/>
    </xf>
    <xf numFmtId="168" fontId="0" fillId="0" borderId="0" xfId="0" applyNumberFormat="1" applyAlignment="1">
      <alignment horizontal="center"/>
    </xf>
    <xf numFmtId="168" fontId="1" fillId="0" borderId="0" xfId="0" applyNumberFormat="1" applyFont="1" applyAlignment="1">
      <alignment horizontal="center"/>
    </xf>
    <xf numFmtId="0" fontId="0" fillId="0" borderId="0" xfId="0" applyNumberFormat="1" applyAlignment="1">
      <alignment horizontal="center"/>
    </xf>
    <xf numFmtId="164" fontId="0" fillId="0" borderId="0" xfId="1" applyNumberFormat="1" applyFont="1" applyAlignment="1">
      <alignment horizontal="center"/>
    </xf>
    <xf numFmtId="168" fontId="0" fillId="0" borderId="2" xfId="0" applyNumberFormat="1" applyBorder="1" applyAlignment="1">
      <alignment horizontal="center"/>
    </xf>
    <xf numFmtId="0" fontId="0" fillId="0" borderId="0" xfId="0" applyBorder="1"/>
    <xf numFmtId="9" fontId="0" fillId="0" borderId="0" xfId="0" applyNumberFormat="1" applyBorder="1" applyAlignment="1">
      <alignment horizontal="center"/>
    </xf>
    <xf numFmtId="1" fontId="0" fillId="0" borderId="0" xfId="1" applyNumberFormat="1" applyFont="1" applyBorder="1" applyAlignment="1">
      <alignment horizontal="center"/>
    </xf>
    <xf numFmtId="167" fontId="0" fillId="0" borderId="6" xfId="0" applyNumberFormat="1" applyFill="1" applyBorder="1" applyAlignment="1">
      <alignment horizontal="center"/>
    </xf>
    <xf numFmtId="167" fontId="0" fillId="0" borderId="9" xfId="0" applyNumberFormat="1" applyFill="1" applyBorder="1" applyAlignment="1">
      <alignment horizontal="center"/>
    </xf>
    <xf numFmtId="167" fontId="0" fillId="0" borderId="7" xfId="0" applyNumberFormat="1" applyFill="1" applyBorder="1" applyAlignment="1">
      <alignment horizontal="center"/>
    </xf>
    <xf numFmtId="167" fontId="0" fillId="0" borderId="1" xfId="0" applyNumberFormat="1" applyBorder="1" applyAlignment="1">
      <alignment horizontal="center"/>
    </xf>
    <xf numFmtId="0" fontId="0" fillId="0" borderId="5" xfId="0" applyBorder="1" applyAlignment="1">
      <alignment horizontal="center"/>
    </xf>
    <xf numFmtId="1" fontId="0" fillId="0" borderId="1" xfId="0" applyNumberFormat="1" applyBorder="1" applyAlignment="1">
      <alignment horizontal="center"/>
    </xf>
    <xf numFmtId="0" fontId="0" fillId="0" borderId="0" xfId="0" applyFill="1" applyAlignment="1">
      <alignment horizontal="left"/>
    </xf>
    <xf numFmtId="0" fontId="0" fillId="2" borderId="1" xfId="0" applyFill="1" applyBorder="1" applyAlignment="1">
      <alignment horizontal="center"/>
    </xf>
    <xf numFmtId="9" fontId="0" fillId="2" borderId="1" xfId="0" applyNumberFormat="1" applyFill="1" applyBorder="1" applyAlignment="1">
      <alignment horizontal="center"/>
    </xf>
    <xf numFmtId="1" fontId="0" fillId="2" borderId="1" xfId="1" applyNumberFormat="1" applyFont="1" applyFill="1" applyBorder="1" applyAlignment="1">
      <alignment horizontal="center"/>
    </xf>
    <xf numFmtId="0" fontId="0" fillId="2" borderId="0" xfId="0" applyFill="1" applyAlignment="1">
      <alignment horizontal="center"/>
    </xf>
    <xf numFmtId="0" fontId="0" fillId="0" borderId="0" xfId="0" applyAlignment="1">
      <alignment horizontal="left"/>
    </xf>
    <xf numFmtId="0" fontId="0" fillId="0" borderId="0" xfId="0" applyBorder="1" applyAlignment="1">
      <alignment horizontal="left"/>
    </xf>
    <xf numFmtId="9" fontId="0" fillId="0" borderId="0" xfId="0" applyNumberFormat="1" applyBorder="1" applyAlignment="1">
      <alignment horizontal="left"/>
    </xf>
    <xf numFmtId="1" fontId="0" fillId="0" borderId="0" xfId="1" applyNumberFormat="1" applyFont="1" applyBorder="1" applyAlignment="1">
      <alignment horizontal="left"/>
    </xf>
    <xf numFmtId="0" fontId="5" fillId="0" borderId="0" xfId="2"/>
    <xf numFmtId="169" fontId="0" fillId="2" borderId="1" xfId="0" applyNumberFormat="1" applyFill="1" applyBorder="1" applyAlignment="1">
      <alignment horizontal="center"/>
    </xf>
    <xf numFmtId="168" fontId="0" fillId="2" borderId="0" xfId="0" applyNumberFormat="1" applyFill="1" applyAlignment="1">
      <alignment horizontal="center"/>
    </xf>
    <xf numFmtId="0" fontId="0" fillId="2" borderId="0" xfId="0" applyNumberFormat="1" applyFill="1" applyAlignment="1">
      <alignment horizontal="center"/>
    </xf>
    <xf numFmtId="1" fontId="0" fillId="2" borderId="0" xfId="0" applyNumberFormat="1" applyFill="1" applyAlignment="1">
      <alignment horizontal="center"/>
    </xf>
    <xf numFmtId="9" fontId="0" fillId="2" borderId="0" xfId="0" applyNumberFormat="1" applyFill="1" applyAlignment="1">
      <alignment horizontal="center"/>
    </xf>
    <xf numFmtId="0" fontId="6" fillId="0" borderId="0" xfId="0" applyFont="1" applyAlignment="1">
      <alignment horizontal="center" vertical="center" wrapText="1"/>
    </xf>
    <xf numFmtId="0" fontId="1" fillId="3" borderId="0" xfId="0" applyFont="1" applyFill="1" applyAlignment="1">
      <alignment horizontal="center"/>
    </xf>
    <xf numFmtId="0" fontId="0" fillId="4" borderId="1" xfId="0" applyFill="1" applyBorder="1" applyAlignment="1">
      <alignment horizontal="center"/>
    </xf>
    <xf numFmtId="0" fontId="0" fillId="4" borderId="1" xfId="0" applyFill="1" applyBorder="1"/>
    <xf numFmtId="0" fontId="0" fillId="4" borderId="0" xfId="0" applyFill="1" applyAlignment="1">
      <alignment horizontal="center" wrapText="1"/>
    </xf>
  </cellXfs>
  <cellStyles count="3">
    <cellStyle name="Hyperlink" xfId="2" builtinId="8"/>
    <cellStyle name="Normal" xfId="0" builtinId="0"/>
    <cellStyle name="Percent" xfId="1" builtinId="5"/>
  </cellStyles>
  <dxfs count="2">
    <dxf>
      <font>
        <b/>
        <i val="0"/>
        <color auto="1"/>
      </font>
      <fill>
        <patternFill>
          <bgColor rgb="FFC6EFCE"/>
        </patternFill>
      </fill>
    </dxf>
    <dxf>
      <font>
        <b/>
        <i val="0"/>
        <color rgb="FFFF0000"/>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biketowork.be/en"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3CC15-D476-404F-802E-4A5D2D1F70CF}">
  <dimension ref="B1:F19"/>
  <sheetViews>
    <sheetView showGridLines="0" tabSelected="1" workbookViewId="0">
      <selection activeCell="E2" sqref="E2"/>
    </sheetView>
  </sheetViews>
  <sheetFormatPr defaultRowHeight="15" x14ac:dyDescent="0.25"/>
  <cols>
    <col min="2" max="2" width="65.42578125" bestFit="1" customWidth="1"/>
    <col min="3" max="3" width="28.28515625" bestFit="1" customWidth="1"/>
    <col min="4" max="5" width="23.28515625" bestFit="1" customWidth="1"/>
    <col min="6" max="6" width="21.7109375" bestFit="1" customWidth="1"/>
  </cols>
  <sheetData>
    <row r="1" spans="2:6" x14ac:dyDescent="0.25">
      <c r="B1" s="46" t="s">
        <v>58</v>
      </c>
    </row>
    <row r="2" spans="2:6" ht="45" x14ac:dyDescent="0.25">
      <c r="B2" s="61" t="s">
        <v>80</v>
      </c>
    </row>
    <row r="3" spans="2:6" ht="69.75" customHeight="1" x14ac:dyDescent="0.25">
      <c r="B3" s="57" t="s">
        <v>77</v>
      </c>
      <c r="C3" s="57"/>
    </row>
    <row r="4" spans="2:6" x14ac:dyDescent="0.25">
      <c r="B4" s="8" t="s">
        <v>1</v>
      </c>
    </row>
    <row r="5" spans="2:6" x14ac:dyDescent="0.25">
      <c r="B5" s="7" t="s">
        <v>0</v>
      </c>
      <c r="C5" s="43">
        <v>35</v>
      </c>
      <c r="D5" t="s">
        <v>62</v>
      </c>
    </row>
    <row r="6" spans="2:6" x14ac:dyDescent="0.25">
      <c r="B6" s="7" t="s">
        <v>50</v>
      </c>
      <c r="C6" s="44">
        <v>1</v>
      </c>
      <c r="D6" t="s">
        <v>74</v>
      </c>
    </row>
    <row r="7" spans="2:6" x14ac:dyDescent="0.25">
      <c r="B7" s="9" t="s">
        <v>41</v>
      </c>
      <c r="C7" s="43">
        <v>3.5</v>
      </c>
      <c r="D7" t="s">
        <v>61</v>
      </c>
    </row>
    <row r="9" spans="2:6" x14ac:dyDescent="0.25">
      <c r="B9" s="7" t="s">
        <v>64</v>
      </c>
      <c r="C9" s="52">
        <v>0.24</v>
      </c>
      <c r="D9" t="s">
        <v>66</v>
      </c>
    </row>
    <row r="10" spans="2:6" x14ac:dyDescent="0.25">
      <c r="B10" s="7" t="s">
        <v>65</v>
      </c>
      <c r="C10" s="52">
        <v>0.5</v>
      </c>
      <c r="D10" s="51" t="s">
        <v>73</v>
      </c>
    </row>
    <row r="11" spans="2:6" x14ac:dyDescent="0.25">
      <c r="B11" s="7" t="s">
        <v>40</v>
      </c>
      <c r="C11" s="43">
        <v>5</v>
      </c>
      <c r="D11" s="48" t="s">
        <v>67</v>
      </c>
      <c r="E11" s="17"/>
    </row>
    <row r="12" spans="2:6" x14ac:dyDescent="0.25">
      <c r="B12" s="7" t="s">
        <v>38</v>
      </c>
      <c r="C12" s="44">
        <v>0.6</v>
      </c>
      <c r="D12" s="49" t="s">
        <v>68</v>
      </c>
      <c r="E12" s="34"/>
      <c r="F12" s="33"/>
    </row>
    <row r="13" spans="2:6" x14ac:dyDescent="0.25">
      <c r="B13" s="7" t="s">
        <v>39</v>
      </c>
      <c r="C13" s="45">
        <v>5000</v>
      </c>
      <c r="D13" s="50" t="s">
        <v>69</v>
      </c>
      <c r="E13" s="35"/>
      <c r="F13" s="35"/>
    </row>
    <row r="14" spans="2:6" x14ac:dyDescent="0.25">
      <c r="D14" s="33"/>
      <c r="E14" s="33"/>
      <c r="F14" s="33"/>
    </row>
    <row r="15" spans="2:6" x14ac:dyDescent="0.25">
      <c r="B15" s="8" t="s">
        <v>2</v>
      </c>
    </row>
    <row r="16" spans="2:6" x14ac:dyDescent="0.25">
      <c r="B16" s="7" t="s">
        <v>55</v>
      </c>
      <c r="C16" s="59" t="s">
        <v>23</v>
      </c>
      <c r="D16" s="60" t="s">
        <v>37</v>
      </c>
      <c r="E16" s="60" t="s">
        <v>56</v>
      </c>
      <c r="F16" s="60" t="s">
        <v>53</v>
      </c>
    </row>
    <row r="17" spans="2:6" x14ac:dyDescent="0.25">
      <c r="B17" s="7" t="s">
        <v>42</v>
      </c>
      <c r="C17" s="39">
        <f>-calculations!C18</f>
        <v>16.241714285714156</v>
      </c>
      <c r="D17" s="39">
        <f>-calculations!D18</f>
        <v>-180.61542857142871</v>
      </c>
      <c r="E17" s="39">
        <f>-calculations!E18</f>
        <v>-459.59542155142168</v>
      </c>
      <c r="F17" s="39">
        <f>-calculations!F18</f>
        <v>-1335.4725714285717</v>
      </c>
    </row>
    <row r="18" spans="2:6" x14ac:dyDescent="0.25">
      <c r="B18" s="9" t="s">
        <v>59</v>
      </c>
      <c r="C18" s="41">
        <f>(C5/calculations!C49*60)+5</f>
        <v>63.333333333333336</v>
      </c>
      <c r="D18" s="41">
        <f>(C5/calculations!D49*60)+5</f>
        <v>65</v>
      </c>
      <c r="E18" s="41">
        <f>(C5/calculations!E49*60)+5</f>
        <v>70.625</v>
      </c>
      <c r="F18" s="41">
        <f>(C5/calculations!F49*60)+5</f>
        <v>80</v>
      </c>
    </row>
    <row r="19" spans="2:6" x14ac:dyDescent="0.25">
      <c r="B19" s="9" t="s">
        <v>57</v>
      </c>
      <c r="C19" s="41">
        <f>((C18*calculations!$C$7*calculations!$C$8*12*2)/60)</f>
        <v>473.48000000000008</v>
      </c>
      <c r="D19" s="41">
        <f>((D18*calculations!$C$7*calculations!$C$8*12*2)/60)</f>
        <v>485.93999999999994</v>
      </c>
      <c r="E19" s="41">
        <f>((E18*calculations!$C$7*calculations!$C$8*12*2)/60)</f>
        <v>527.99250000000006</v>
      </c>
      <c r="F19" s="41">
        <f>((F18*calculations!$C$7*calculations!$C$8*12*2)/60)</f>
        <v>598.08000000000004</v>
      </c>
    </row>
  </sheetData>
  <mergeCells count="1">
    <mergeCell ref="B3:C3"/>
  </mergeCells>
  <conditionalFormatting sqref="C17:F17">
    <cfRule type="cellIs" dxfId="1" priority="1" operator="lessThan">
      <formula>0</formula>
    </cfRule>
    <cfRule type="cellIs" dxfId="0" priority="2" operator="greaterThan">
      <formula>0</formula>
    </cfRule>
  </conditionalFormatting>
  <hyperlinks>
    <hyperlink ref="D10" r:id="rId1" display="e.g. if agreement between employer and Bike To Work" xr:uid="{FF6A3846-B74F-4037-B54B-46A38A3FF2E2}"/>
  </hyperlinks>
  <pageMargins left="0.7" right="0.7" top="0.75" bottom="0.75" header="0.3" footer="0.3"/>
  <pageSetup paperSize="9" orientation="portrait"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7D0D-9008-4041-98BB-A6700161B863}">
  <dimension ref="B1:G49"/>
  <sheetViews>
    <sheetView showGridLines="0" workbookViewId="0">
      <selection activeCell="E22" sqref="E22"/>
    </sheetView>
  </sheetViews>
  <sheetFormatPr defaultRowHeight="15" x14ac:dyDescent="0.25"/>
  <cols>
    <col min="1" max="1" width="13.28515625" style="1" bestFit="1" customWidth="1"/>
    <col min="2" max="2" width="36.28515625" style="1" bestFit="1" customWidth="1"/>
    <col min="3" max="3" width="28.28515625" style="1" bestFit="1" customWidth="1"/>
    <col min="4" max="4" width="23.28515625" style="1" bestFit="1" customWidth="1"/>
    <col min="5" max="5" width="23.7109375" style="1" bestFit="1" customWidth="1"/>
    <col min="6" max="6" width="21.7109375" style="1" bestFit="1" customWidth="1"/>
    <col min="7" max="7" width="15.5703125" style="1" customWidth="1"/>
    <col min="8" max="8" width="11.28515625" style="1" bestFit="1" customWidth="1"/>
    <col min="9" max="9" width="12.28515625" style="1" bestFit="1" customWidth="1"/>
    <col min="10" max="10" width="19.5703125" style="1" bestFit="1" customWidth="1"/>
    <col min="11" max="11" width="14.140625" style="1" bestFit="1" customWidth="1"/>
    <col min="12" max="12" width="10.42578125" style="1" bestFit="1" customWidth="1"/>
    <col min="13" max="13" width="18.85546875" style="1" bestFit="1" customWidth="1"/>
    <col min="14" max="16384" width="9.140625" style="1"/>
  </cols>
  <sheetData>
    <row r="1" spans="2:6" x14ac:dyDescent="0.25">
      <c r="C1" s="58" t="s">
        <v>10</v>
      </c>
      <c r="D1" s="58"/>
      <c r="E1" s="58"/>
      <c r="F1" s="58"/>
    </row>
    <row r="2" spans="2:6" x14ac:dyDescent="0.25">
      <c r="B2" s="11" t="s">
        <v>3</v>
      </c>
      <c r="C2" s="1">
        <f>overview!C5</f>
        <v>35</v>
      </c>
    </row>
    <row r="3" spans="2:6" x14ac:dyDescent="0.25">
      <c r="B3" s="11" t="s">
        <v>4</v>
      </c>
      <c r="C3" s="1">
        <f>C2*2</f>
        <v>70</v>
      </c>
    </row>
    <row r="4" spans="2:6" x14ac:dyDescent="0.25">
      <c r="B4" s="11" t="s">
        <v>27</v>
      </c>
      <c r="C4" s="5">
        <f>C3*C7*12*C8</f>
        <v>15699.6</v>
      </c>
    </row>
    <row r="5" spans="2:6" x14ac:dyDescent="0.25">
      <c r="B5" s="11" t="s">
        <v>70</v>
      </c>
      <c r="C5" s="28">
        <f>overview!C9</f>
        <v>0.24</v>
      </c>
      <c r="E5" s="15"/>
    </row>
    <row r="6" spans="2:6" x14ac:dyDescent="0.25">
      <c r="B6" s="11" t="s">
        <v>5</v>
      </c>
      <c r="C6" s="3">
        <f>overview!C6</f>
        <v>1</v>
      </c>
    </row>
    <row r="7" spans="2:6" x14ac:dyDescent="0.25">
      <c r="B7" s="11" t="s">
        <v>6</v>
      </c>
      <c r="C7" s="1">
        <f>21*C6</f>
        <v>21</v>
      </c>
      <c r="E7" s="15"/>
    </row>
    <row r="8" spans="2:6" x14ac:dyDescent="0.25">
      <c r="B8" s="11" t="s">
        <v>7</v>
      </c>
      <c r="C8" s="46">
        <v>0.89</v>
      </c>
      <c r="D8" s="47" t="s">
        <v>75</v>
      </c>
      <c r="E8" s="21"/>
    </row>
    <row r="9" spans="2:6" x14ac:dyDescent="0.25">
      <c r="B9" s="11" t="s">
        <v>8</v>
      </c>
      <c r="C9" s="28">
        <f>C7*C3*C5*C8</f>
        <v>313.99200000000002</v>
      </c>
    </row>
    <row r="10" spans="2:6" x14ac:dyDescent="0.25">
      <c r="B10" s="11" t="s">
        <v>9</v>
      </c>
      <c r="C10" s="28">
        <f>C9*12</f>
        <v>3767.9040000000005</v>
      </c>
    </row>
    <row r="11" spans="2:6" x14ac:dyDescent="0.25">
      <c r="B11" s="11" t="s">
        <v>72</v>
      </c>
      <c r="C11" s="4">
        <f>overview!C10</f>
        <v>0.5</v>
      </c>
    </row>
    <row r="12" spans="2:6" x14ac:dyDescent="0.25">
      <c r="B12" s="11" t="s">
        <v>71</v>
      </c>
      <c r="C12" s="28">
        <f>overview!C10*C7*C8*12</f>
        <v>112.14000000000001</v>
      </c>
    </row>
    <row r="13" spans="2:6" ht="15.75" thickBot="1" x14ac:dyDescent="0.3">
      <c r="B13" s="11" t="s">
        <v>13</v>
      </c>
      <c r="C13" s="1">
        <f>overview!C7</f>
        <v>3.5</v>
      </c>
    </row>
    <row r="14" spans="2:6" x14ac:dyDescent="0.25">
      <c r="B14" s="16" t="s">
        <v>24</v>
      </c>
      <c r="C14" s="32">
        <f>(C10+C12)*C13</f>
        <v>13580.154</v>
      </c>
      <c r="D14" s="18"/>
      <c r="E14" s="18"/>
      <c r="F14" s="14"/>
    </row>
    <row r="15" spans="2:6" x14ac:dyDescent="0.25">
      <c r="B15" s="16"/>
      <c r="C15" s="19" t="s">
        <v>23</v>
      </c>
      <c r="D15" s="20" t="s">
        <v>37</v>
      </c>
      <c r="E15" s="20" t="s">
        <v>52</v>
      </c>
      <c r="F15" s="40" t="s">
        <v>53</v>
      </c>
    </row>
    <row r="16" spans="2:6" x14ac:dyDescent="0.25">
      <c r="B16" s="16" t="s">
        <v>25</v>
      </c>
      <c r="C16" s="25">
        <f>C29+((C32-C42)*C39)+(C44*C45)+(C47*C13)</f>
        <v>13637</v>
      </c>
      <c r="D16" s="26">
        <f>D29+((D32-D42)*D39)+(D44*D45)+(C13*D47)</f>
        <v>12948</v>
      </c>
      <c r="E16" s="26">
        <f>E29+((E32-E42)*E39)+(E44*E45)+(E47*C13)</f>
        <v>11971.570024570025</v>
      </c>
      <c r="F16" s="27">
        <f>F29+((F32-F42)*F39)+(F44*F45)+(C13*F47)</f>
        <v>8906</v>
      </c>
    </row>
    <row r="17" spans="2:7" x14ac:dyDescent="0.25">
      <c r="B17" s="16" t="s">
        <v>26</v>
      </c>
      <c r="C17" s="22">
        <f>$C$14-C16</f>
        <v>-56.845999999999549</v>
      </c>
      <c r="D17" s="23">
        <f t="shared" ref="D17:E17" si="0">$C$14-D16</f>
        <v>632.15400000000045</v>
      </c>
      <c r="E17" s="23">
        <f t="shared" si="0"/>
        <v>1608.5839754299759</v>
      </c>
      <c r="F17" s="24">
        <f>$C$14-F16</f>
        <v>4674.1540000000005</v>
      </c>
    </row>
    <row r="18" spans="2:7" ht="15.75" thickBot="1" x14ac:dyDescent="0.3">
      <c r="B18" s="11" t="s">
        <v>28</v>
      </c>
      <c r="C18" s="36">
        <f>C17/$C$13</f>
        <v>-16.241714285714156</v>
      </c>
      <c r="D18" s="37">
        <f t="shared" ref="D18:E18" si="1">D17/$C$13</f>
        <v>180.61542857142871</v>
      </c>
      <c r="E18" s="37">
        <f t="shared" si="1"/>
        <v>459.59542155142168</v>
      </c>
      <c r="F18" s="38">
        <f t="shared" ref="F18" si="2">F17/$C$13</f>
        <v>1335.4725714285717</v>
      </c>
    </row>
    <row r="20" spans="2:7" x14ac:dyDescent="0.25">
      <c r="C20" s="58" t="s">
        <v>11</v>
      </c>
      <c r="D20" s="58"/>
      <c r="E20" s="58"/>
      <c r="F20" s="58"/>
    </row>
    <row r="21" spans="2:7" x14ac:dyDescent="0.25">
      <c r="B21" s="12" t="s">
        <v>17</v>
      </c>
      <c r="C21" s="10" t="s">
        <v>23</v>
      </c>
      <c r="D21" s="10" t="s">
        <v>37</v>
      </c>
      <c r="E21" s="10" t="s">
        <v>51</v>
      </c>
      <c r="F21" s="1" t="s">
        <v>53</v>
      </c>
      <c r="G21" s="10"/>
    </row>
    <row r="22" spans="2:7" x14ac:dyDescent="0.25">
      <c r="B22" s="13" t="s">
        <v>14</v>
      </c>
      <c r="C22" s="53">
        <v>7330</v>
      </c>
      <c r="D22" s="53">
        <v>7330</v>
      </c>
      <c r="E22" s="53">
        <v>5650</v>
      </c>
      <c r="F22" s="53">
        <v>4000</v>
      </c>
      <c r="G22" s="42" t="s">
        <v>54</v>
      </c>
    </row>
    <row r="23" spans="2:7" x14ac:dyDescent="0.25">
      <c r="B23" s="13" t="s">
        <v>22</v>
      </c>
      <c r="C23" s="53">
        <v>299</v>
      </c>
      <c r="D23" s="53">
        <v>0</v>
      </c>
      <c r="E23" s="53">
        <v>0</v>
      </c>
      <c r="F23" s="53">
        <v>0</v>
      </c>
      <c r="G23" s="10"/>
    </row>
    <row r="24" spans="2:7" x14ac:dyDescent="0.25">
      <c r="B24" s="13" t="s">
        <v>78</v>
      </c>
      <c r="C24" s="53">
        <v>250</v>
      </c>
      <c r="D24" s="53">
        <v>250</v>
      </c>
      <c r="E24" s="53">
        <v>0</v>
      </c>
      <c r="F24" s="53">
        <v>0</v>
      </c>
    </row>
    <row r="25" spans="2:7" x14ac:dyDescent="0.25">
      <c r="B25" s="13" t="s">
        <v>12</v>
      </c>
      <c r="C25" s="53">
        <v>80</v>
      </c>
      <c r="D25" s="53">
        <v>80</v>
      </c>
      <c r="E25" s="53">
        <v>80</v>
      </c>
      <c r="F25" s="53">
        <v>130</v>
      </c>
    </row>
    <row r="26" spans="2:7" x14ac:dyDescent="0.25">
      <c r="B26" s="13" t="s">
        <v>79</v>
      </c>
      <c r="C26" s="53">
        <v>40</v>
      </c>
      <c r="D26" s="53">
        <v>0</v>
      </c>
      <c r="E26" s="53">
        <v>0</v>
      </c>
      <c r="F26" s="53">
        <v>0</v>
      </c>
    </row>
    <row r="27" spans="2:7" x14ac:dyDescent="0.25">
      <c r="B27" s="13" t="s">
        <v>15</v>
      </c>
      <c r="C27" s="53">
        <v>249</v>
      </c>
      <c r="D27" s="53">
        <v>249</v>
      </c>
      <c r="E27" s="53">
        <v>249</v>
      </c>
      <c r="F27" s="53">
        <v>200</v>
      </c>
    </row>
    <row r="28" spans="2:7" x14ac:dyDescent="0.25">
      <c r="B28" s="11" t="s">
        <v>19</v>
      </c>
      <c r="C28" s="53">
        <v>350</v>
      </c>
      <c r="D28" s="53">
        <v>0</v>
      </c>
      <c r="E28" s="53">
        <v>0</v>
      </c>
      <c r="F28" s="53">
        <v>0</v>
      </c>
    </row>
    <row r="29" spans="2:7" x14ac:dyDescent="0.25">
      <c r="B29" s="13" t="s">
        <v>18</v>
      </c>
      <c r="C29" s="29">
        <f>SUM(C22:C28)</f>
        <v>8598</v>
      </c>
      <c r="D29" s="29">
        <f t="shared" ref="D29:E29" si="3">SUM(D22:D28)</f>
        <v>7909</v>
      </c>
      <c r="E29" s="29">
        <f t="shared" si="3"/>
        <v>5979</v>
      </c>
      <c r="F29" s="29">
        <f t="shared" ref="F29" si="4">SUM(F22:F28)</f>
        <v>4330</v>
      </c>
    </row>
    <row r="30" spans="2:7" x14ac:dyDescent="0.25">
      <c r="B30" s="2" t="s">
        <v>16</v>
      </c>
      <c r="C30" s="15"/>
      <c r="D30" s="15"/>
      <c r="E30" s="15"/>
      <c r="F30" s="15"/>
    </row>
    <row r="31" spans="2:7" x14ac:dyDescent="0.25">
      <c r="B31" s="13" t="s">
        <v>44</v>
      </c>
      <c r="C31" s="15" t="s">
        <v>45</v>
      </c>
      <c r="D31" s="15" t="s">
        <v>45</v>
      </c>
      <c r="E31" s="15" t="s">
        <v>46</v>
      </c>
      <c r="F31" s="15" t="s">
        <v>47</v>
      </c>
    </row>
    <row r="32" spans="2:7" x14ac:dyDescent="0.25">
      <c r="B32" s="13" t="s">
        <v>43</v>
      </c>
      <c r="C32" s="28">
        <v>1990</v>
      </c>
      <c r="D32" s="28">
        <v>1990</v>
      </c>
      <c r="E32" s="28">
        <v>1660</v>
      </c>
      <c r="F32" s="28">
        <v>660</v>
      </c>
    </row>
    <row r="33" spans="2:7" x14ac:dyDescent="0.25">
      <c r="B33" s="13" t="s">
        <v>30</v>
      </c>
      <c r="C33" s="54">
        <v>60</v>
      </c>
      <c r="D33" s="54">
        <v>60</v>
      </c>
      <c r="E33" s="55">
        <f>D33*(814/983)</f>
        <v>49.68463886063072</v>
      </c>
      <c r="F33" s="55">
        <v>45</v>
      </c>
    </row>
    <row r="34" spans="2:7" x14ac:dyDescent="0.25">
      <c r="B34" s="13" t="s">
        <v>31</v>
      </c>
      <c r="C34" s="30">
        <f>$C$2+overview!C11</f>
        <v>40</v>
      </c>
      <c r="D34" s="30">
        <f>$C$2+overview!C11</f>
        <v>40</v>
      </c>
      <c r="E34" s="30">
        <f>$C$2+overview!C11</f>
        <v>40</v>
      </c>
      <c r="F34" s="30">
        <f>$C$2+overview!C11</f>
        <v>40</v>
      </c>
    </row>
    <row r="35" spans="2:7" x14ac:dyDescent="0.25">
      <c r="B35" s="13" t="s">
        <v>32</v>
      </c>
      <c r="C35" s="6">
        <f>(C33-C34)/C33</f>
        <v>0.33333333333333331</v>
      </c>
      <c r="D35" s="6">
        <f t="shared" ref="D35" si="5">(D33-D34)/D33</f>
        <v>0.33333333333333331</v>
      </c>
      <c r="E35" s="6">
        <f>(E33-E34)/E33</f>
        <v>0.1949221949221949</v>
      </c>
      <c r="F35" s="6">
        <f t="shared" ref="F35" si="6">(F33-F34)/F33</f>
        <v>0.1111111111111111</v>
      </c>
    </row>
    <row r="36" spans="2:7" x14ac:dyDescent="0.25">
      <c r="B36" s="13" t="s">
        <v>33</v>
      </c>
      <c r="C36" s="56">
        <v>0.15</v>
      </c>
      <c r="D36" s="56">
        <v>0.15</v>
      </c>
      <c r="E36" s="56">
        <v>0.15</v>
      </c>
      <c r="F36" s="56">
        <v>0.15</v>
      </c>
    </row>
    <row r="37" spans="2:7" x14ac:dyDescent="0.25">
      <c r="B37" s="13" t="s">
        <v>35</v>
      </c>
      <c r="C37" s="31">
        <f>(C35/C36)</f>
        <v>2.2222222222222223</v>
      </c>
      <c r="D37" s="31">
        <f t="shared" ref="D37" si="7">(D35/D36)</f>
        <v>2.2222222222222223</v>
      </c>
      <c r="E37" s="31">
        <f>(E35/E36)</f>
        <v>1.2994812994812994</v>
      </c>
      <c r="F37" s="31">
        <f t="shared" ref="F37" si="8">(F35/F36)</f>
        <v>0.7407407407407407</v>
      </c>
    </row>
    <row r="38" spans="2:7" x14ac:dyDescent="0.25">
      <c r="B38" s="13" t="s">
        <v>34</v>
      </c>
      <c r="C38" s="5">
        <f>10000*C37</f>
        <v>22222.222222222223</v>
      </c>
      <c r="D38" s="5">
        <f t="shared" ref="D38:E38" si="9">10000*D37</f>
        <v>22222.222222222223</v>
      </c>
      <c r="E38" s="5">
        <f t="shared" si="9"/>
        <v>12994.812994812994</v>
      </c>
      <c r="F38" s="5">
        <f>10000*F37</f>
        <v>7407.4074074074069</v>
      </c>
    </row>
    <row r="39" spans="2:7" x14ac:dyDescent="0.25">
      <c r="B39" s="13" t="s">
        <v>36</v>
      </c>
      <c r="C39" s="4">
        <f>ROUNDUP(((($C$4*$C$13)/C38)-1),0)</f>
        <v>2</v>
      </c>
      <c r="D39" s="4">
        <f t="shared" ref="D39" si="10">ROUNDUP(((($C$4*$C$13)/D38)-1),0)</f>
        <v>2</v>
      </c>
      <c r="E39" s="4">
        <f>ROUNDUP(((($C$4*$C$13)/E38)-1),0)</f>
        <v>4</v>
      </c>
      <c r="F39" s="4">
        <f>ROUNDUP(((($C$4*$C$13)/F38)-1),0)</f>
        <v>7</v>
      </c>
      <c r="G39" s="47" t="s">
        <v>60</v>
      </c>
    </row>
    <row r="40" spans="2:7" x14ac:dyDescent="0.25">
      <c r="B40" s="13"/>
      <c r="C40" s="5"/>
      <c r="D40" s="5"/>
      <c r="E40" s="5"/>
      <c r="F40" s="5"/>
    </row>
    <row r="41" spans="2:7" x14ac:dyDescent="0.25">
      <c r="B41" s="13" t="s">
        <v>48</v>
      </c>
      <c r="C41" s="3">
        <f>(1-C35)*overview!C12</f>
        <v>0.4</v>
      </c>
      <c r="D41" s="3">
        <f>(1-D35)*overview!C12</f>
        <v>0.4</v>
      </c>
      <c r="E41" s="3">
        <f>(1-E35)*overview!C12</f>
        <v>0.48304668304668308</v>
      </c>
      <c r="F41" s="3">
        <f>(1-F35)*overview!C12</f>
        <v>0.53333333333333333</v>
      </c>
    </row>
    <row r="42" spans="2:7" x14ac:dyDescent="0.25">
      <c r="B42" s="13" t="s">
        <v>49</v>
      </c>
      <c r="C42" s="28">
        <f>C32*C41</f>
        <v>796</v>
      </c>
      <c r="D42" s="28">
        <f>D32*D41</f>
        <v>796</v>
      </c>
      <c r="E42" s="28">
        <f>E32*E41</f>
        <v>801.85749385749386</v>
      </c>
      <c r="F42" s="28">
        <f>F32*F41</f>
        <v>352</v>
      </c>
    </row>
    <row r="43" spans="2:7" x14ac:dyDescent="0.25">
      <c r="B43" s="11" t="s">
        <v>21</v>
      </c>
      <c r="C43" s="5">
        <f>overview!C13</f>
        <v>5000</v>
      </c>
      <c r="D43" s="5">
        <f>C43</f>
        <v>5000</v>
      </c>
      <c r="E43" s="5">
        <f>C43</f>
        <v>5000</v>
      </c>
      <c r="F43" s="5">
        <f>D43</f>
        <v>5000</v>
      </c>
    </row>
    <row r="44" spans="2:7" x14ac:dyDescent="0.25">
      <c r="B44" s="11" t="s">
        <v>20</v>
      </c>
      <c r="C44" s="53">
        <v>250</v>
      </c>
      <c r="D44" s="53">
        <v>250</v>
      </c>
      <c r="E44" s="53">
        <v>250</v>
      </c>
      <c r="F44" s="53">
        <v>250</v>
      </c>
    </row>
    <row r="45" spans="2:7" x14ac:dyDescent="0.25">
      <c r="B45" s="11" t="s">
        <v>29</v>
      </c>
      <c r="C45" s="1">
        <f>ROUNDDOWN(((($C$4*$C$13)/C43)-2),0)</f>
        <v>8</v>
      </c>
      <c r="D45" s="1">
        <f t="shared" ref="D45:E45" si="11">ROUNDDOWN(((($C$4*$C$13)/D43)-2),0)</f>
        <v>8</v>
      </c>
      <c r="E45" s="1">
        <f t="shared" si="11"/>
        <v>8</v>
      </c>
      <c r="F45" s="1">
        <f t="shared" ref="F45" si="12">ROUNDDOWN(((($C$4*$C$13)/F43)-2),0)</f>
        <v>8</v>
      </c>
    </row>
    <row r="46" spans="2:7" x14ac:dyDescent="0.25">
      <c r="B46" s="11"/>
    </row>
    <row r="47" spans="2:7" x14ac:dyDescent="0.25">
      <c r="B47" s="1" t="s">
        <v>63</v>
      </c>
      <c r="C47" s="46">
        <v>186</v>
      </c>
      <c r="D47" s="46">
        <v>186</v>
      </c>
      <c r="E47" s="46">
        <v>160</v>
      </c>
      <c r="F47" s="46">
        <v>120</v>
      </c>
    </row>
    <row r="49" spans="2:6" x14ac:dyDescent="0.25">
      <c r="B49" s="1" t="s">
        <v>76</v>
      </c>
      <c r="C49" s="46">
        <v>36</v>
      </c>
      <c r="D49" s="46">
        <v>35</v>
      </c>
      <c r="E49" s="46">
        <v>32</v>
      </c>
      <c r="F49" s="46">
        <v>28</v>
      </c>
    </row>
  </sheetData>
  <mergeCells count="2">
    <mergeCell ref="C20:F20"/>
    <mergeCell ref="C1:F1"/>
  </mergeCell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overview</vt:lpstr>
      <vt:lpstr>calculations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DeWilde, Vincent</dc:creator>
  <cp:lastModifiedBy>DeWilde, Vincent</cp:lastModifiedBy>
  <dcterms:created xsi:type="dcterms:W3CDTF">2019-04-02T08:17:41Z</dcterms:created>
  <dcterms:modified xsi:type="dcterms:W3CDTF">2019-10-19T19:48:47Z</dcterms:modified>
</cp:coreProperties>
</file>